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showHorizontalScroll="0" showVerticalScroll="0" showSheetTabs="0" xWindow="0" yWindow="45" windowWidth="11385" windowHeight="6510" activeTab="0"/>
  </bookViews>
  <sheets>
    <sheet name="入力" sheetId="1" r:id="rId1"/>
    <sheet name="Sheet1" sheetId="2" r:id="rId2"/>
    <sheet name="DATA" sheetId="3" r:id="rId3"/>
  </sheets>
  <definedNames>
    <definedName name="_xlnm.Print_Area" localSheetId="1">'Sheet1'!$A$1:$J$102</definedName>
  </definedNames>
  <calcPr fullCalcOnLoad="1"/>
</workbook>
</file>

<file path=xl/sharedStrings.xml><?xml version="1.0" encoding="utf-8"?>
<sst xmlns="http://schemas.openxmlformats.org/spreadsheetml/2006/main" count="176" uniqueCount="138">
  <si>
    <t>5.許容応力度</t>
  </si>
  <si>
    <t>3)死荷重の計算</t>
  </si>
  <si>
    <t>直径</t>
  </si>
  <si>
    <t>D</t>
  </si>
  <si>
    <t>D</t>
  </si>
  <si>
    <t>断面積</t>
  </si>
  <si>
    <t>k=</t>
  </si>
  <si>
    <t>j=</t>
  </si>
  <si>
    <t>k'=</t>
  </si>
  <si>
    <t>j'=</t>
  </si>
  <si>
    <t>支間  ＝</t>
  </si>
  <si>
    <t>仮定厚</t>
  </si>
  <si>
    <t>活荷重 ＝</t>
  </si>
  <si>
    <t>ｱｽﾌｧﾙﾄ ＝</t>
  </si>
  <si>
    <t>ｸﾗｯｼｬｰﾗﾝ＝</t>
  </si>
  <si>
    <t>土   ＝</t>
  </si>
  <si>
    <t>雪   ＝</t>
  </si>
  <si>
    <r>
      <t>cm</t>
    </r>
    <r>
      <rPr>
        <b/>
        <vertAlign val="superscript"/>
        <sz val="10"/>
        <color indexed="11"/>
        <rFont val="ＦＡ 丸ゴシックＭ"/>
        <family val="3"/>
      </rPr>
      <t>2</t>
    </r>
  </si>
  <si>
    <t>場所</t>
  </si>
  <si>
    <t>形状寸法</t>
  </si>
  <si>
    <t>鉄筋</t>
  </si>
  <si>
    <t>荷重</t>
  </si>
  <si>
    <t>死荷重</t>
  </si>
  <si>
    <t>全幅  ＝</t>
  </si>
  <si>
    <t>ｄ   ＝</t>
  </si>
  <si>
    <t>主鉄筋  Ｄ</t>
  </si>
  <si>
    <t>配力鉄筋Ｄ</t>
  </si>
  <si>
    <t>床版  ＝</t>
  </si>
  <si>
    <t>粒調砕石＝</t>
  </si>
  <si>
    <t>付近</t>
  </si>
  <si>
    <t>㎜</t>
  </si>
  <si>
    <t>ｔ</t>
  </si>
  <si>
    <t>ｍ</t>
  </si>
  <si>
    <t>断面積</t>
  </si>
  <si>
    <t>主鉄筋許容応力</t>
  </si>
  <si>
    <t>配力鉄筋許容応力</t>
  </si>
  <si>
    <t>dd   ＝</t>
  </si>
  <si>
    <t>＜70</t>
  </si>
  <si>
    <t>＜1400</t>
  </si>
  <si>
    <t>cm pich</t>
  </si>
  <si>
    <t>判定</t>
  </si>
  <si>
    <t>判定</t>
  </si>
  <si>
    <t>有効床版厚</t>
  </si>
  <si>
    <t>有効鉄筋量ピッチ</t>
  </si>
  <si>
    <t>5)必要有効断面の計算</t>
  </si>
  <si>
    <t>大型車通行量 1日1000台未満</t>
  </si>
  <si>
    <t>床版の支間方向に平行な4m未満の単純版(RC)</t>
  </si>
  <si>
    <t>床版構造計算書</t>
  </si>
  <si>
    <t>1)形状寸法</t>
  </si>
  <si>
    <t>2)設計条件</t>
  </si>
  <si>
    <t>1.形式</t>
  </si>
  <si>
    <t>１方向の単純床版</t>
  </si>
  <si>
    <t>2.支間</t>
  </si>
  <si>
    <t>3.活荷重</t>
  </si>
  <si>
    <t>4.死荷重</t>
  </si>
  <si>
    <t>鉄筋コンクリート</t>
  </si>
  <si>
    <r>
      <t>Kg/m</t>
    </r>
    <r>
      <rPr>
        <vertAlign val="superscript"/>
        <sz val="10"/>
        <rFont val="ＭＳ ゴシック"/>
        <family val="3"/>
      </rPr>
      <t>3</t>
    </r>
  </si>
  <si>
    <t>アスファルト舗装</t>
  </si>
  <si>
    <r>
      <t>Kg/m</t>
    </r>
    <r>
      <rPr>
        <vertAlign val="superscript"/>
        <sz val="10"/>
        <rFont val="ＭＳ ゴシック"/>
        <family val="3"/>
      </rPr>
      <t>3</t>
    </r>
  </si>
  <si>
    <t>粒度調整砕石</t>
  </si>
  <si>
    <r>
      <t>Kg/m</t>
    </r>
    <r>
      <rPr>
        <vertAlign val="superscript"/>
        <sz val="10"/>
        <rFont val="ＭＳ ゴシック"/>
        <family val="3"/>
      </rPr>
      <t>3</t>
    </r>
  </si>
  <si>
    <t>クラッシャーラン</t>
  </si>
  <si>
    <t>土</t>
  </si>
  <si>
    <r>
      <t>Kg/m</t>
    </r>
    <r>
      <rPr>
        <vertAlign val="superscript"/>
        <sz val="10"/>
        <rFont val="ＭＳ ゴシック"/>
        <family val="3"/>
      </rPr>
      <t>3</t>
    </r>
  </si>
  <si>
    <t>雪</t>
  </si>
  <si>
    <r>
      <t>Kg/m</t>
    </r>
    <r>
      <rPr>
        <vertAlign val="superscript"/>
        <sz val="10"/>
        <rFont val="ＭＳ ゴシック"/>
        <family val="3"/>
      </rPr>
      <t>2</t>
    </r>
    <r>
      <rPr>
        <sz val="10"/>
        <rFont val="ＭＳ ゴシック"/>
        <family val="3"/>
      </rPr>
      <t>(t=1.0cm)</t>
    </r>
  </si>
  <si>
    <t>コンクリート曲げ圧縮応力度</t>
  </si>
  <si>
    <t>(σca)＝</t>
  </si>
  <si>
    <r>
      <t>kg/m</t>
    </r>
    <r>
      <rPr>
        <vertAlign val="superscript"/>
        <sz val="10"/>
        <rFont val="ＭＳ ゴシック"/>
        <family val="3"/>
      </rPr>
      <t>2</t>
    </r>
  </si>
  <si>
    <t>コンクリートせん断応力度</t>
  </si>
  <si>
    <t>(τa) ＝</t>
  </si>
  <si>
    <t>付着応力度</t>
  </si>
  <si>
    <t>(τca)＝</t>
  </si>
  <si>
    <r>
      <t>kg/m</t>
    </r>
    <r>
      <rPr>
        <vertAlign val="superscript"/>
        <sz val="10"/>
        <rFont val="ＭＳ ゴシック"/>
        <family val="3"/>
      </rPr>
      <t>2</t>
    </r>
  </si>
  <si>
    <t>異形鉄筋引張応力度</t>
  </si>
  <si>
    <t>(σsa)＝</t>
  </si>
  <si>
    <r>
      <t>kg/m</t>
    </r>
    <r>
      <rPr>
        <vertAlign val="superscript"/>
        <sz val="10"/>
        <rFont val="ＭＳ ゴシック"/>
        <family val="3"/>
      </rPr>
      <t>2</t>
    </r>
  </si>
  <si>
    <t>床版</t>
  </si>
  <si>
    <t>Ｗ１＝</t>
  </si>
  <si>
    <t>アスファルト</t>
  </si>
  <si>
    <t>Ｗ２＝</t>
  </si>
  <si>
    <t>粒度調整砕石</t>
  </si>
  <si>
    <t>Ｗ３＝</t>
  </si>
  <si>
    <t>ｸﾗｯｼｬｰﾗﾝ</t>
  </si>
  <si>
    <t>Ｗ４＝</t>
  </si>
  <si>
    <t>Ｗ５＝</t>
  </si>
  <si>
    <t>Ｗ６＝</t>
  </si>
  <si>
    <t>合計</t>
  </si>
  <si>
    <t>Ｗｄ＝</t>
  </si>
  <si>
    <r>
      <t>kg/m</t>
    </r>
    <r>
      <rPr>
        <vertAlign val="superscript"/>
        <sz val="10"/>
        <rFont val="ＭＳ ゴシック"/>
        <family val="3"/>
      </rPr>
      <t>2</t>
    </r>
  </si>
  <si>
    <t>4)曲げモーメントの計算</t>
  </si>
  <si>
    <t>1.死荷重による曲げモーメント</t>
  </si>
  <si>
    <t>Ｍｄ＝</t>
  </si>
  <si>
    <r>
      <t>Ｗｄ×Ｌ</t>
    </r>
    <r>
      <rPr>
        <vertAlign val="superscript"/>
        <sz val="10"/>
        <rFont val="ＭＳ ゴシック"/>
        <family val="3"/>
      </rPr>
      <t>2</t>
    </r>
  </si>
  <si>
    <t>＝</t>
  </si>
  <si>
    <t>８</t>
  </si>
  <si>
    <t>2.活荷重による曲げモーメント</t>
  </si>
  <si>
    <t xml:space="preserve">  ｲ)主鉄筋方向の曲げモーメント</t>
  </si>
  <si>
    <t xml:space="preserve">      ＭＬ＝ (0.22×Ｌ＋0.08)×Ｐ</t>
  </si>
  <si>
    <t xml:space="preserve">          ＝</t>
  </si>
  <si>
    <t xml:space="preserve">  ﾛ)配力鉄筋方向の曲げモーメント</t>
  </si>
  <si>
    <t xml:space="preserve">     ＭＬ'＝ (0.06×Ｌ＋0.06)×Ｐ</t>
  </si>
  <si>
    <t xml:space="preserve">          ＝</t>
  </si>
  <si>
    <t>3.合成曲げモーメント</t>
  </si>
  <si>
    <t xml:space="preserve">  ｲ)主鉄筋方向</t>
  </si>
  <si>
    <t xml:space="preserve">     Ｍ＝ Ｍｄ＋ＭＬ</t>
  </si>
  <si>
    <t xml:space="preserve">  ﾛ)配力鉄筋方向</t>
  </si>
  <si>
    <t xml:space="preserve">    Ｍ'＝ Ｍｄ＋ＭＬ'</t>
  </si>
  <si>
    <t>5)応力度の検討</t>
  </si>
  <si>
    <t xml:space="preserve">  主鉄筋</t>
  </si>
  <si>
    <t xml:space="preserve">     ρ＝</t>
  </si>
  <si>
    <t>Ａｓ</t>
  </si>
  <si>
    <t>ｂ・ｄ</t>
  </si>
  <si>
    <t xml:space="preserve">  単鉄筋応力計算用係数表より</t>
  </si>
  <si>
    <t xml:space="preserve">      σc＝</t>
  </si>
  <si>
    <t>２・Ｍ</t>
  </si>
  <si>
    <t>＝</t>
  </si>
  <si>
    <r>
      <t>ｋ・ｊ・ｂ・ｄ</t>
    </r>
    <r>
      <rPr>
        <vertAlign val="superscript"/>
        <sz val="10"/>
        <rFont val="ＭＳ ゴシック"/>
        <family val="3"/>
      </rPr>
      <t>２</t>
    </r>
  </si>
  <si>
    <t xml:space="preserve">         ＝</t>
  </si>
  <si>
    <r>
      <t>kg/cm</t>
    </r>
    <r>
      <rPr>
        <vertAlign val="superscript"/>
        <sz val="10"/>
        <rFont val="ＭＳ ゴシック"/>
        <family val="3"/>
      </rPr>
      <t>2</t>
    </r>
  </si>
  <si>
    <r>
      <t xml:space="preserve"> ＜  σca(＝70 kg/cm</t>
    </r>
    <r>
      <rPr>
        <vertAlign val="superscript"/>
        <sz val="10"/>
        <rFont val="ＭＳ ゴシック"/>
        <family val="3"/>
      </rPr>
      <t>2</t>
    </r>
    <r>
      <rPr>
        <sz val="10"/>
        <rFont val="ＭＳ ゴシック"/>
        <family val="3"/>
      </rPr>
      <t>)</t>
    </r>
  </si>
  <si>
    <t xml:space="preserve">      σs＝</t>
  </si>
  <si>
    <t>Ｍ</t>
  </si>
  <si>
    <t>Ａｓ・ｊ・ｄ</t>
  </si>
  <si>
    <r>
      <t xml:space="preserve"> ＜  σsa(＝1400 kg/cm</t>
    </r>
    <r>
      <rPr>
        <vertAlign val="superscript"/>
        <sz val="10"/>
        <rFont val="ＭＳ ゴシック"/>
        <family val="3"/>
      </rPr>
      <t>2</t>
    </r>
    <r>
      <rPr>
        <sz val="10"/>
        <rFont val="ＭＳ ゴシック"/>
        <family val="3"/>
      </rPr>
      <t>)</t>
    </r>
  </si>
  <si>
    <t xml:space="preserve">  配力鉄筋</t>
  </si>
  <si>
    <t xml:space="preserve">     ρ'＝</t>
  </si>
  <si>
    <t>Ａｓ'</t>
  </si>
  <si>
    <t>＝</t>
  </si>
  <si>
    <t>ｂ・ｄ</t>
  </si>
  <si>
    <t xml:space="preserve">     σc'＝</t>
  </si>
  <si>
    <t>２・Ｍ'</t>
  </si>
  <si>
    <r>
      <t>ｋ'･ｊ'･ｂ'･ｄ</t>
    </r>
    <r>
      <rPr>
        <vertAlign val="superscript"/>
        <sz val="10"/>
        <rFont val="ＭＳ ゴシック"/>
        <family val="3"/>
      </rPr>
      <t>２</t>
    </r>
  </si>
  <si>
    <t xml:space="preserve">     σs'＝</t>
  </si>
  <si>
    <t>Ｍ'</t>
  </si>
  <si>
    <t>Ａｓ'・ｊ'・ｄ'</t>
  </si>
  <si>
    <t>以上の結果より、すべて許容値内にあるので、</t>
  </si>
  <si>
    <t>安全であり、この断面で計画を行う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</si>
</sst>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6">
    <font>
      <sz val="10"/>
      <name val="ＦＡ 丸ゴシックＭ"/>
      <family val="3"/>
    </font>
    <font>
      <sz val="6"/>
      <name val="ＭＳ Ｐゴシック"/>
      <family val="3"/>
    </font>
    <font>
      <b/>
      <sz val="10"/>
      <name val="ＦＡ 丸ゴシックＭ"/>
      <family val="3"/>
    </font>
    <font>
      <b/>
      <sz val="10"/>
      <color indexed="12"/>
      <name val="ＦＡ 丸ゴシックＭ"/>
      <family val="3"/>
    </font>
    <font>
      <b/>
      <sz val="10"/>
      <color indexed="10"/>
      <name val="ＦＡ 丸ゴシックＭ"/>
      <family val="3"/>
    </font>
    <font>
      <b/>
      <sz val="10"/>
      <color indexed="11"/>
      <name val="ＦＡ 丸ゴシックＭ"/>
      <family val="3"/>
    </font>
    <font>
      <b/>
      <vertAlign val="superscript"/>
      <sz val="10"/>
      <color indexed="11"/>
      <name val="ＦＡ 丸ゴシックＭ"/>
      <family val="3"/>
    </font>
    <font>
      <b/>
      <sz val="10"/>
      <color indexed="13"/>
      <name val="ＦＡ 丸ゴシックＭ"/>
      <family val="3"/>
    </font>
    <font>
      <b/>
      <sz val="10"/>
      <color indexed="15"/>
      <name val="ＦＡ 丸ゴシックＭ"/>
      <family val="3"/>
    </font>
    <font>
      <b/>
      <sz val="14"/>
      <color indexed="60"/>
      <name val="ＦＡ 隷書Ｍ"/>
      <family val="3"/>
    </font>
    <font>
      <b/>
      <sz val="10"/>
      <color indexed="9"/>
      <name val="ＦＡ 丸ゴシックＭ"/>
      <family val="3"/>
    </font>
    <font>
      <sz val="20"/>
      <name val="ＭＳ ゴシック"/>
      <family val="3"/>
    </font>
    <font>
      <sz val="10"/>
      <name val="ＭＳ ゴシック"/>
      <family val="3"/>
    </font>
    <font>
      <vertAlign val="superscript"/>
      <sz val="10"/>
      <name val="ＭＳ ゴシック"/>
      <family val="3"/>
    </font>
    <font>
      <b/>
      <sz val="12"/>
      <name val="ＭＳ ゴシック"/>
      <family val="3"/>
    </font>
    <font>
      <sz val="14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right"/>
    </xf>
    <xf numFmtId="0" fontId="0" fillId="0" borderId="0" xfId="0" applyAlignment="1" quotePrefix="1">
      <alignment horizontal="right"/>
    </xf>
    <xf numFmtId="0" fontId="0" fillId="0" borderId="0" xfId="0" applyAlignment="1">
      <alignment horizontal="left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quotePrefix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Alignment="1" quotePrefix="1">
      <alignment horizontal="right"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8" fillId="0" borderId="0" xfId="0" applyFont="1" applyFill="1" applyAlignment="1" quotePrefix="1">
      <alignment horizontal="left"/>
    </xf>
    <xf numFmtId="0" fontId="3" fillId="2" borderId="1" xfId="0" applyFont="1" applyFill="1" applyBorder="1" applyAlignment="1" applyProtection="1">
      <alignment/>
      <protection locked="0"/>
    </xf>
    <xf numFmtId="0" fontId="7" fillId="0" borderId="0" xfId="0" applyFont="1" applyFill="1" applyAlignment="1" quotePrefix="1">
      <alignment horizontal="left"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 quotePrefix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Fill="1" applyAlignment="1" quotePrefix="1">
      <alignment horizontal="left"/>
    </xf>
    <xf numFmtId="0" fontId="12" fillId="0" borderId="2" xfId="0" applyFont="1" applyBorder="1" applyAlignment="1" quotePrefix="1">
      <alignment horizontal="left"/>
    </xf>
    <xf numFmtId="0" fontId="13" fillId="0" borderId="0" xfId="0" applyFont="1" applyAlignment="1" quotePrefix="1">
      <alignment horizontal="right"/>
    </xf>
    <xf numFmtId="0" fontId="12" fillId="0" borderId="3" xfId="0" applyFont="1" applyBorder="1" applyAlignment="1" quotePrefix="1">
      <alignment horizontal="center" vertical="top"/>
    </xf>
    <xf numFmtId="0" fontId="11" fillId="0" borderId="0" xfId="0" applyFont="1" applyAlignment="1" quotePrefix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 quotePrefix="1">
      <alignment horizontal="left"/>
    </xf>
    <xf numFmtId="0" fontId="12" fillId="0" borderId="0" xfId="0" applyFont="1" applyAlignment="1" quotePrefix="1">
      <alignment horizontal="center"/>
    </xf>
    <xf numFmtId="0" fontId="12" fillId="0" borderId="0" xfId="0" applyFont="1" applyAlignment="1" quotePrefix="1">
      <alignment horizontal="right"/>
    </xf>
    <xf numFmtId="0" fontId="12" fillId="0" borderId="0" xfId="0" applyFont="1" applyAlignment="1">
      <alignment horizontal="right"/>
    </xf>
    <xf numFmtId="0" fontId="12" fillId="0" borderId="3" xfId="0" applyFont="1" applyBorder="1" applyAlignment="1">
      <alignment horizontal="center"/>
    </xf>
    <xf numFmtId="0" fontId="12" fillId="0" borderId="2" xfId="0" applyFont="1" applyBorder="1" applyAlignment="1">
      <alignment/>
    </xf>
    <xf numFmtId="0" fontId="12" fillId="0" borderId="2" xfId="0" applyFont="1" applyBorder="1" applyAlignment="1" quotePrefix="1">
      <alignment horizontal="right"/>
    </xf>
    <xf numFmtId="0" fontId="14" fillId="0" borderId="0" xfId="0" applyFont="1" applyAlignment="1">
      <alignment/>
    </xf>
    <xf numFmtId="0" fontId="12" fillId="0" borderId="3" xfId="0" applyFont="1" applyBorder="1" applyAlignment="1" quotePrefix="1">
      <alignment horizontal="center"/>
    </xf>
    <xf numFmtId="0" fontId="15" fillId="0" borderId="0" xfId="0" applyFont="1" applyAlignment="1" quotePrefix="1">
      <alignment horizontal="left"/>
    </xf>
    <xf numFmtId="0" fontId="15" fillId="0" borderId="0" xfId="0" applyFont="1" applyAlignment="1">
      <alignment/>
    </xf>
    <xf numFmtId="0" fontId="5" fillId="0" borderId="0" xfId="0" applyFont="1" applyFill="1" applyAlignment="1" quotePrefix="1">
      <alignment horizontal="center"/>
    </xf>
    <xf numFmtId="0" fontId="5" fillId="0" borderId="0" xfId="0" applyFont="1" applyFill="1" applyAlignment="1">
      <alignment horizontal="center"/>
    </xf>
    <xf numFmtId="0" fontId="3" fillId="2" borderId="0" xfId="0" applyFont="1" applyFill="1" applyAlignment="1" applyProtection="1">
      <alignment horizontal="center"/>
      <protection locked="0"/>
    </xf>
    <xf numFmtId="0" fontId="12" fillId="0" borderId="0" xfId="0" applyFont="1" applyAlignment="1" quotePrefix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center"/>
    </xf>
    <xf numFmtId="0" fontId="12" fillId="0" borderId="0" xfId="0" applyFont="1" applyAlignment="1" quotePrefix="1">
      <alignment horizontal="center"/>
    </xf>
    <xf numFmtId="0" fontId="12" fillId="0" borderId="0" xfId="0" applyFont="1" applyAlignment="1">
      <alignment horizontal="center"/>
    </xf>
    <xf numFmtId="0" fontId="12" fillId="0" borderId="2" xfId="0" applyFont="1" applyBorder="1" applyAlignment="1" quotePrefix="1">
      <alignment horizontal="center"/>
    </xf>
    <xf numFmtId="0" fontId="12" fillId="0" borderId="0" xfId="0" applyFont="1" applyAlignment="1">
      <alignment horizontal="left" vertical="center"/>
    </xf>
    <xf numFmtId="0" fontId="12" fillId="0" borderId="2" xfId="0" applyFont="1" applyBorder="1" applyAlignment="1">
      <alignment horizontal="right"/>
    </xf>
    <xf numFmtId="0" fontId="12" fillId="0" borderId="3" xfId="0" applyFont="1" applyBorder="1" applyAlignment="1" quotePrefix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4</xdr:col>
      <xdr:colOff>9525</xdr:colOff>
      <xdr:row>4</xdr:row>
      <xdr:rowOff>0</xdr:rowOff>
    </xdr:to>
    <xdr:sp>
      <xdr:nvSpPr>
        <xdr:cNvPr id="1" name="AutoShape 4"/>
        <xdr:cNvSpPr>
          <a:spLocks noChangeAspect="1"/>
        </xdr:cNvSpPr>
      </xdr:nvSpPr>
      <xdr:spPr>
        <a:xfrm>
          <a:off x="695325" y="323850"/>
          <a:ext cx="2219325" cy="304800"/>
        </a:xfrm>
        <a:prstGeom prst="rect"/>
        <a:noFill/>
      </xdr:spPr>
      <xdr:txBody>
        <a:bodyPr fromWordArt="1" wrap="none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1"/>
                <a:srcRect/>
                <a:stretch>
                  <a:fillRect/>
                </a:stretch>
              </a:blipFill>
              <a:latin typeface="ＦＡ 隷書Ｍ"/>
              <a:cs typeface="ＦＡ 隷書Ｍ"/>
            </a:rPr>
            <a:t>床版構造計算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6</xdr:row>
      <xdr:rowOff>9525</xdr:rowOff>
    </xdr:from>
    <xdr:to>
      <xdr:col>8</xdr:col>
      <xdr:colOff>476250</xdr:colOff>
      <xdr:row>9</xdr:row>
      <xdr:rowOff>0</xdr:rowOff>
    </xdr:to>
    <xdr:sp>
      <xdr:nvSpPr>
        <xdr:cNvPr id="1" name="Rectangle 3"/>
        <xdr:cNvSpPr>
          <a:spLocks/>
        </xdr:cNvSpPr>
      </xdr:nvSpPr>
      <xdr:spPr>
        <a:xfrm>
          <a:off x="1771650" y="1171575"/>
          <a:ext cx="4057650" cy="5048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ＦＡ 丸ゴシックＭ"/>
              <a:ea typeface="ＦＡ 丸ゴシックＭ"/>
              <a:cs typeface="ＦＡ 丸ゴシックＭ"/>
            </a:rPr>
            <a:t/>
          </a:r>
        </a:p>
      </xdr:txBody>
    </xdr:sp>
    <xdr:clientData/>
  </xdr:twoCellAnchor>
  <xdr:twoCellAnchor>
    <xdr:from>
      <xdr:col>2</xdr:col>
      <xdr:colOff>838200</xdr:colOff>
      <xdr:row>8</xdr:row>
      <xdr:rowOff>0</xdr:rowOff>
    </xdr:from>
    <xdr:to>
      <xdr:col>8</xdr:col>
      <xdr:colOff>257175</xdr:colOff>
      <xdr:row>8</xdr:row>
      <xdr:rowOff>0</xdr:rowOff>
    </xdr:to>
    <xdr:sp>
      <xdr:nvSpPr>
        <xdr:cNvPr id="2" name="Line 4"/>
        <xdr:cNvSpPr>
          <a:spLocks/>
        </xdr:cNvSpPr>
      </xdr:nvSpPr>
      <xdr:spPr>
        <a:xfrm>
          <a:off x="2019300" y="1504950"/>
          <a:ext cx="3590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ＦＡ 丸ゴシックＭ"/>
              <a:ea typeface="ＦＡ 丸ゴシックＭ"/>
              <a:cs typeface="ＦＡ 丸ゴシックＭ"/>
            </a:rPr>
            <a:t/>
          </a:r>
        </a:p>
      </xdr:txBody>
    </xdr:sp>
    <xdr:clientData/>
  </xdr:twoCellAnchor>
  <xdr:twoCellAnchor>
    <xdr:from>
      <xdr:col>2</xdr:col>
      <xdr:colOff>590550</xdr:colOff>
      <xdr:row>9</xdr:row>
      <xdr:rowOff>0</xdr:rowOff>
    </xdr:from>
    <xdr:to>
      <xdr:col>2</xdr:col>
      <xdr:colOff>590550</xdr:colOff>
      <xdr:row>11</xdr:row>
      <xdr:rowOff>0</xdr:rowOff>
    </xdr:to>
    <xdr:sp>
      <xdr:nvSpPr>
        <xdr:cNvPr id="3" name="Line 6"/>
        <xdr:cNvSpPr>
          <a:spLocks/>
        </xdr:cNvSpPr>
      </xdr:nvSpPr>
      <xdr:spPr>
        <a:xfrm>
          <a:off x="1771650" y="1676400"/>
          <a:ext cx="0" cy="342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ＦＡ 丸ゴシックＭ"/>
              <a:ea typeface="ＦＡ 丸ゴシックＭ"/>
              <a:cs typeface="ＦＡ 丸ゴシックＭ"/>
            </a:rPr>
            <a:t/>
          </a:r>
        </a:p>
      </xdr:txBody>
    </xdr:sp>
    <xdr:clientData/>
  </xdr:twoCellAnchor>
  <xdr:twoCellAnchor>
    <xdr:from>
      <xdr:col>3</xdr:col>
      <xdr:colOff>123825</xdr:colOff>
      <xdr:row>9</xdr:row>
      <xdr:rowOff>9525</xdr:rowOff>
    </xdr:from>
    <xdr:to>
      <xdr:col>3</xdr:col>
      <xdr:colOff>123825</xdr:colOff>
      <xdr:row>11</xdr:row>
      <xdr:rowOff>9525</xdr:rowOff>
    </xdr:to>
    <xdr:sp>
      <xdr:nvSpPr>
        <xdr:cNvPr id="4" name="Line 7"/>
        <xdr:cNvSpPr>
          <a:spLocks/>
        </xdr:cNvSpPr>
      </xdr:nvSpPr>
      <xdr:spPr>
        <a:xfrm>
          <a:off x="2276475" y="1685925"/>
          <a:ext cx="0" cy="342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ＦＡ 丸ゴシックＭ"/>
              <a:ea typeface="ＦＡ 丸ゴシックＭ"/>
              <a:cs typeface="ＦＡ 丸ゴシックＭ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9525</xdr:rowOff>
    </xdr:from>
    <xdr:to>
      <xdr:col>8</xdr:col>
      <xdr:colOff>0</xdr:colOff>
      <xdr:row>11</xdr:row>
      <xdr:rowOff>9525</xdr:rowOff>
    </xdr:to>
    <xdr:sp>
      <xdr:nvSpPr>
        <xdr:cNvPr id="5" name="Line 8"/>
        <xdr:cNvSpPr>
          <a:spLocks/>
        </xdr:cNvSpPr>
      </xdr:nvSpPr>
      <xdr:spPr>
        <a:xfrm>
          <a:off x="5353050" y="1685925"/>
          <a:ext cx="0" cy="342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ＦＡ 丸ゴシックＭ"/>
              <a:ea typeface="ＦＡ 丸ゴシックＭ"/>
              <a:cs typeface="ＦＡ 丸ゴシックＭ"/>
            </a:rPr>
            <a:t/>
          </a:r>
        </a:p>
      </xdr:txBody>
    </xdr:sp>
    <xdr:clientData/>
  </xdr:twoCellAnchor>
  <xdr:twoCellAnchor>
    <xdr:from>
      <xdr:col>8</xdr:col>
      <xdr:colOff>476250</xdr:colOff>
      <xdr:row>9</xdr:row>
      <xdr:rowOff>9525</xdr:rowOff>
    </xdr:from>
    <xdr:to>
      <xdr:col>8</xdr:col>
      <xdr:colOff>476250</xdr:colOff>
      <xdr:row>11</xdr:row>
      <xdr:rowOff>9525</xdr:rowOff>
    </xdr:to>
    <xdr:sp>
      <xdr:nvSpPr>
        <xdr:cNvPr id="6" name="Line 9"/>
        <xdr:cNvSpPr>
          <a:spLocks/>
        </xdr:cNvSpPr>
      </xdr:nvSpPr>
      <xdr:spPr>
        <a:xfrm>
          <a:off x="5829300" y="1685925"/>
          <a:ext cx="0" cy="342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ＦＡ 丸ゴシックＭ"/>
              <a:ea typeface="ＦＡ 丸ゴシックＭ"/>
              <a:cs typeface="ＦＡ 丸ゴシックＭ"/>
            </a:rPr>
            <a:t/>
          </a:r>
        </a:p>
      </xdr:txBody>
    </xdr:sp>
    <xdr:clientData/>
  </xdr:twoCellAnchor>
  <xdr:twoCellAnchor>
    <xdr:from>
      <xdr:col>2</xdr:col>
      <xdr:colOff>838200</xdr:colOff>
      <xdr:row>11</xdr:row>
      <xdr:rowOff>0</xdr:rowOff>
    </xdr:from>
    <xdr:to>
      <xdr:col>2</xdr:col>
      <xdr:colOff>838200</xdr:colOff>
      <xdr:row>13</xdr:row>
      <xdr:rowOff>38100</xdr:rowOff>
    </xdr:to>
    <xdr:sp>
      <xdr:nvSpPr>
        <xdr:cNvPr id="7" name="Line 10"/>
        <xdr:cNvSpPr>
          <a:spLocks/>
        </xdr:cNvSpPr>
      </xdr:nvSpPr>
      <xdr:spPr>
        <a:xfrm>
          <a:off x="2019300" y="201930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ＦＡ 丸ゴシックＭ"/>
              <a:ea typeface="ＦＡ 丸ゴシックＭ"/>
              <a:cs typeface="ＦＡ 丸ゴシックＭ"/>
            </a:rPr>
            <a:t/>
          </a:r>
        </a:p>
      </xdr:txBody>
    </xdr:sp>
    <xdr:clientData/>
  </xdr:twoCellAnchor>
  <xdr:twoCellAnchor>
    <xdr:from>
      <xdr:col>8</xdr:col>
      <xdr:colOff>238125</xdr:colOff>
      <xdr:row>11</xdr:row>
      <xdr:rowOff>0</xdr:rowOff>
    </xdr:from>
    <xdr:to>
      <xdr:col>8</xdr:col>
      <xdr:colOff>238125</xdr:colOff>
      <xdr:row>13</xdr:row>
      <xdr:rowOff>38100</xdr:rowOff>
    </xdr:to>
    <xdr:sp>
      <xdr:nvSpPr>
        <xdr:cNvPr id="8" name="Line 11"/>
        <xdr:cNvSpPr>
          <a:spLocks/>
        </xdr:cNvSpPr>
      </xdr:nvSpPr>
      <xdr:spPr>
        <a:xfrm>
          <a:off x="5591175" y="201930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ＦＡ 丸ゴシックＭ"/>
              <a:ea typeface="ＦＡ 丸ゴシックＭ"/>
              <a:cs typeface="ＦＡ 丸ゴシックＭ"/>
            </a:rPr>
            <a:t/>
          </a:r>
        </a:p>
      </xdr:txBody>
    </xdr:sp>
    <xdr:clientData/>
  </xdr:twoCellAnchor>
  <xdr:twoCellAnchor>
    <xdr:from>
      <xdr:col>2</xdr:col>
      <xdr:colOff>838200</xdr:colOff>
      <xdr:row>13</xdr:row>
      <xdr:rowOff>9525</xdr:rowOff>
    </xdr:from>
    <xdr:to>
      <xdr:col>8</xdr:col>
      <xdr:colOff>238125</xdr:colOff>
      <xdr:row>13</xdr:row>
      <xdr:rowOff>9525</xdr:rowOff>
    </xdr:to>
    <xdr:sp>
      <xdr:nvSpPr>
        <xdr:cNvPr id="9" name="Line 13"/>
        <xdr:cNvSpPr>
          <a:spLocks/>
        </xdr:cNvSpPr>
      </xdr:nvSpPr>
      <xdr:spPr>
        <a:xfrm>
          <a:off x="2019300" y="2371725"/>
          <a:ext cx="357187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ＦＡ 丸ゴシックＭ"/>
              <a:ea typeface="ＦＡ 丸ゴシックＭ"/>
              <a:cs typeface="ＦＡ 丸ゴシックＭ"/>
            </a:rPr>
            <a:t/>
          </a:r>
        </a:p>
      </xdr:txBody>
    </xdr:sp>
    <xdr:clientData/>
  </xdr:twoCellAnchor>
  <xdr:twoCellAnchor>
    <xdr:from>
      <xdr:col>2</xdr:col>
      <xdr:colOff>590550</xdr:colOff>
      <xdr:row>3</xdr:row>
      <xdr:rowOff>114300</xdr:rowOff>
    </xdr:from>
    <xdr:to>
      <xdr:col>2</xdr:col>
      <xdr:colOff>590550</xdr:colOff>
      <xdr:row>5</xdr:row>
      <xdr:rowOff>76200</xdr:rowOff>
    </xdr:to>
    <xdr:sp>
      <xdr:nvSpPr>
        <xdr:cNvPr id="10" name="Line 14"/>
        <xdr:cNvSpPr>
          <a:spLocks/>
        </xdr:cNvSpPr>
      </xdr:nvSpPr>
      <xdr:spPr>
        <a:xfrm flipV="1">
          <a:off x="1771650" y="7620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ＦＡ 丸ゴシックＭ"/>
              <a:ea typeface="ＦＡ 丸ゴシックＭ"/>
              <a:cs typeface="ＦＡ 丸ゴシックＭ"/>
            </a:rPr>
            <a:t/>
          </a:r>
        </a:p>
      </xdr:txBody>
    </xdr:sp>
    <xdr:clientData/>
  </xdr:twoCellAnchor>
  <xdr:twoCellAnchor>
    <xdr:from>
      <xdr:col>8</xdr:col>
      <xdr:colOff>476250</xdr:colOff>
      <xdr:row>3</xdr:row>
      <xdr:rowOff>114300</xdr:rowOff>
    </xdr:from>
    <xdr:to>
      <xdr:col>8</xdr:col>
      <xdr:colOff>476250</xdr:colOff>
      <xdr:row>5</xdr:row>
      <xdr:rowOff>66675</xdr:rowOff>
    </xdr:to>
    <xdr:sp>
      <xdr:nvSpPr>
        <xdr:cNvPr id="11" name="Line 15"/>
        <xdr:cNvSpPr>
          <a:spLocks/>
        </xdr:cNvSpPr>
      </xdr:nvSpPr>
      <xdr:spPr>
        <a:xfrm flipV="1">
          <a:off x="5829300" y="7620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ＦＡ 丸ゴシックＭ"/>
              <a:ea typeface="ＦＡ 丸ゴシックＭ"/>
              <a:cs typeface="ＦＡ 丸ゴシックＭ"/>
            </a:rPr>
            <a:t/>
          </a:r>
        </a:p>
      </xdr:txBody>
    </xdr:sp>
    <xdr:clientData/>
  </xdr:twoCellAnchor>
  <xdr:twoCellAnchor>
    <xdr:from>
      <xdr:col>2</xdr:col>
      <xdr:colOff>590550</xdr:colOff>
      <xdr:row>4</xdr:row>
      <xdr:rowOff>19050</xdr:rowOff>
    </xdr:from>
    <xdr:to>
      <xdr:col>8</xdr:col>
      <xdr:colOff>476250</xdr:colOff>
      <xdr:row>4</xdr:row>
      <xdr:rowOff>19050</xdr:rowOff>
    </xdr:to>
    <xdr:sp>
      <xdr:nvSpPr>
        <xdr:cNvPr id="12" name="Line 16"/>
        <xdr:cNvSpPr>
          <a:spLocks/>
        </xdr:cNvSpPr>
      </xdr:nvSpPr>
      <xdr:spPr>
        <a:xfrm>
          <a:off x="1771650" y="838200"/>
          <a:ext cx="40576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ＦＡ 丸ゴシックＭ"/>
              <a:ea typeface="ＦＡ 丸ゴシックＭ"/>
              <a:cs typeface="ＦＡ 丸ゴシックＭ"/>
            </a:rPr>
            <a:t/>
          </a:r>
        </a:p>
      </xdr:txBody>
    </xdr:sp>
    <xdr:clientData/>
  </xdr:twoCellAnchor>
  <xdr:twoCellAnchor>
    <xdr:from>
      <xdr:col>8</xdr:col>
      <xdr:colOff>619125</xdr:colOff>
      <xdr:row>6</xdr:row>
      <xdr:rowOff>9525</xdr:rowOff>
    </xdr:from>
    <xdr:to>
      <xdr:col>9</xdr:col>
      <xdr:colOff>333375</xdr:colOff>
      <xdr:row>6</xdr:row>
      <xdr:rowOff>9525</xdr:rowOff>
    </xdr:to>
    <xdr:sp>
      <xdr:nvSpPr>
        <xdr:cNvPr id="13" name="Line 17"/>
        <xdr:cNvSpPr>
          <a:spLocks/>
        </xdr:cNvSpPr>
      </xdr:nvSpPr>
      <xdr:spPr>
        <a:xfrm>
          <a:off x="5972175" y="11715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ＦＡ 丸ゴシックＭ"/>
              <a:ea typeface="ＦＡ 丸ゴシックＭ"/>
              <a:cs typeface="ＦＡ 丸ゴシックＭ"/>
            </a:rPr>
            <a:t/>
          </a:r>
        </a:p>
      </xdr:txBody>
    </xdr:sp>
    <xdr:clientData/>
  </xdr:twoCellAnchor>
  <xdr:twoCellAnchor>
    <xdr:from>
      <xdr:col>8</xdr:col>
      <xdr:colOff>619125</xdr:colOff>
      <xdr:row>8</xdr:row>
      <xdr:rowOff>9525</xdr:rowOff>
    </xdr:from>
    <xdr:to>
      <xdr:col>9</xdr:col>
      <xdr:colOff>333375</xdr:colOff>
      <xdr:row>8</xdr:row>
      <xdr:rowOff>9525</xdr:rowOff>
    </xdr:to>
    <xdr:sp>
      <xdr:nvSpPr>
        <xdr:cNvPr id="14" name="Line 19"/>
        <xdr:cNvSpPr>
          <a:spLocks/>
        </xdr:cNvSpPr>
      </xdr:nvSpPr>
      <xdr:spPr>
        <a:xfrm>
          <a:off x="5972175" y="15144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ＦＡ 丸ゴシックＭ"/>
              <a:ea typeface="ＦＡ 丸ゴシックＭ"/>
              <a:cs typeface="ＦＡ 丸ゴシックＭ"/>
            </a:rPr>
            <a:t/>
          </a:r>
        </a:p>
      </xdr:txBody>
    </xdr:sp>
    <xdr:clientData/>
  </xdr:twoCellAnchor>
  <xdr:twoCellAnchor>
    <xdr:from>
      <xdr:col>8</xdr:col>
      <xdr:colOff>619125</xdr:colOff>
      <xdr:row>9</xdr:row>
      <xdr:rowOff>9525</xdr:rowOff>
    </xdr:from>
    <xdr:to>
      <xdr:col>9</xdr:col>
      <xdr:colOff>333375</xdr:colOff>
      <xdr:row>9</xdr:row>
      <xdr:rowOff>9525</xdr:rowOff>
    </xdr:to>
    <xdr:sp>
      <xdr:nvSpPr>
        <xdr:cNvPr id="15" name="Line 20"/>
        <xdr:cNvSpPr>
          <a:spLocks/>
        </xdr:cNvSpPr>
      </xdr:nvSpPr>
      <xdr:spPr>
        <a:xfrm>
          <a:off x="5972175" y="16859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ＦＡ 丸ゴシックＭ"/>
              <a:ea typeface="ＦＡ 丸ゴシックＭ"/>
              <a:cs typeface="ＦＡ 丸ゴシックＭ"/>
            </a:rPr>
            <a:t/>
          </a:r>
        </a:p>
      </xdr:txBody>
    </xdr:sp>
    <xdr:clientData/>
  </xdr:twoCellAnchor>
  <xdr:twoCellAnchor>
    <xdr:from>
      <xdr:col>9</xdr:col>
      <xdr:colOff>247650</xdr:colOff>
      <xdr:row>4</xdr:row>
      <xdr:rowOff>66675</xdr:rowOff>
    </xdr:from>
    <xdr:to>
      <xdr:col>9</xdr:col>
      <xdr:colOff>247650</xdr:colOff>
      <xdr:row>6</xdr:row>
      <xdr:rowOff>9525</xdr:rowOff>
    </xdr:to>
    <xdr:sp>
      <xdr:nvSpPr>
        <xdr:cNvPr id="16" name="Line 21"/>
        <xdr:cNvSpPr>
          <a:spLocks/>
        </xdr:cNvSpPr>
      </xdr:nvSpPr>
      <xdr:spPr>
        <a:xfrm>
          <a:off x="6296025" y="8858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ＦＡ 丸ゴシックＭ"/>
              <a:ea typeface="ＦＡ 丸ゴシックＭ"/>
              <a:cs typeface="ＦＡ 丸ゴシックＭ"/>
            </a:rPr>
            <a:t/>
          </a:r>
        </a:p>
      </xdr:txBody>
    </xdr:sp>
    <xdr:clientData/>
  </xdr:twoCellAnchor>
  <xdr:twoCellAnchor>
    <xdr:from>
      <xdr:col>9</xdr:col>
      <xdr:colOff>238125</xdr:colOff>
      <xdr:row>9</xdr:row>
      <xdr:rowOff>9525</xdr:rowOff>
    </xdr:from>
    <xdr:to>
      <xdr:col>9</xdr:col>
      <xdr:colOff>238125</xdr:colOff>
      <xdr:row>10</xdr:row>
      <xdr:rowOff>104775</xdr:rowOff>
    </xdr:to>
    <xdr:sp>
      <xdr:nvSpPr>
        <xdr:cNvPr id="17" name="Line 22"/>
        <xdr:cNvSpPr>
          <a:spLocks/>
        </xdr:cNvSpPr>
      </xdr:nvSpPr>
      <xdr:spPr>
        <a:xfrm>
          <a:off x="6286500" y="16859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ＦＡ 丸ゴシックＭ"/>
              <a:ea typeface="ＦＡ 丸ゴシックＭ"/>
              <a:cs typeface="ＦＡ 丸ゴシックＭ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image" Target="../media/image3.png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3:M24"/>
  <sheetViews>
    <sheetView showGridLines="0" showRowColHeaders="0" showZeros="0" tabSelected="1" showOutlineSymbols="0" workbookViewId="0" topLeftCell="A1">
      <selection activeCell="C6" sqref="C6:D6"/>
    </sheetView>
  </sheetViews>
  <sheetFormatPr defaultColWidth="9.00390625" defaultRowHeight="12.75"/>
  <cols>
    <col min="1" max="2" width="9.125" style="7" customWidth="1"/>
    <col min="3" max="3" width="10.75390625" style="7" customWidth="1"/>
    <col min="4" max="4" width="9.125" style="7" customWidth="1"/>
    <col min="5" max="5" width="4.75390625" style="7" customWidth="1"/>
    <col min="6" max="6" width="6.25390625" style="7" customWidth="1"/>
    <col min="7" max="7" width="9.125" style="7" customWidth="1"/>
    <col min="8" max="8" width="8.125" style="7" customWidth="1"/>
    <col min="9" max="9" width="3.75390625" style="7" customWidth="1"/>
    <col min="10" max="16384" width="9.125" style="7" customWidth="1"/>
  </cols>
  <sheetData>
    <row r="3" ht="12">
      <c r="F3" s="22" t="s">
        <v>45</v>
      </c>
    </row>
    <row r="4" ht="12">
      <c r="F4" s="23" t="s">
        <v>46</v>
      </c>
    </row>
    <row r="5" ht="12">
      <c r="F5" s="22"/>
    </row>
    <row r="6" spans="2:7" ht="12">
      <c r="B6" s="12" t="s">
        <v>18</v>
      </c>
      <c r="C6" s="44"/>
      <c r="D6" s="44"/>
      <c r="E6" s="12" t="s">
        <v>29</v>
      </c>
      <c r="F6" s="12"/>
      <c r="G6" s="12"/>
    </row>
    <row r="7" spans="2:7" ht="12">
      <c r="B7" s="12"/>
      <c r="E7" s="12"/>
      <c r="F7" s="12"/>
      <c r="G7" s="12"/>
    </row>
    <row r="8" spans="2:7" ht="12">
      <c r="B8" s="12" t="s">
        <v>19</v>
      </c>
      <c r="E8" s="12"/>
      <c r="F8" s="12"/>
      <c r="G8" s="12"/>
    </row>
    <row r="9" spans="2:7" ht="12">
      <c r="B9" s="12"/>
      <c r="C9" s="13" t="s">
        <v>23</v>
      </c>
      <c r="D9" s="17"/>
      <c r="E9" s="12" t="s">
        <v>30</v>
      </c>
      <c r="F9" s="12"/>
      <c r="G9" s="12"/>
    </row>
    <row r="10" spans="2:11" ht="12">
      <c r="B10" s="12"/>
      <c r="C10" s="13" t="s">
        <v>10</v>
      </c>
      <c r="D10" s="17"/>
      <c r="E10" s="12" t="s">
        <v>30</v>
      </c>
      <c r="F10" s="12"/>
      <c r="G10" s="12"/>
      <c r="H10" s="16" t="s">
        <v>42</v>
      </c>
      <c r="I10" s="15"/>
      <c r="J10" s="15" t="s">
        <v>11</v>
      </c>
      <c r="K10" s="15"/>
    </row>
    <row r="11" spans="2:11" ht="12">
      <c r="B11" s="12"/>
      <c r="C11" s="13" t="s">
        <v>24</v>
      </c>
      <c r="D11" s="17"/>
      <c r="E11" s="12" t="s">
        <v>30</v>
      </c>
      <c r="F11" s="12"/>
      <c r="G11" s="12"/>
      <c r="H11" s="9" t="str">
        <f>D12/10+DATA!B13&amp;"cm"</f>
        <v>0cm</v>
      </c>
      <c r="I11" s="10"/>
      <c r="J11" s="10" t="str">
        <f>(D11+D12)/10&amp;"cm"</f>
        <v>0cm</v>
      </c>
      <c r="K11" s="8"/>
    </row>
    <row r="12" spans="2:7" ht="12">
      <c r="B12" s="12"/>
      <c r="C12" s="13" t="s">
        <v>36</v>
      </c>
      <c r="D12" s="17"/>
      <c r="E12" s="12" t="s">
        <v>30</v>
      </c>
      <c r="F12" s="12"/>
      <c r="G12" s="12"/>
    </row>
    <row r="13" spans="2:11" ht="12">
      <c r="B13" s="12" t="s">
        <v>20</v>
      </c>
      <c r="C13" s="14"/>
      <c r="E13" s="12"/>
      <c r="F13" s="12"/>
      <c r="G13" s="12"/>
      <c r="H13" s="15" t="s">
        <v>33</v>
      </c>
      <c r="I13" s="15"/>
      <c r="J13" s="16" t="s">
        <v>43</v>
      </c>
      <c r="K13" s="15"/>
    </row>
    <row r="14" spans="2:11" ht="14.25">
      <c r="B14" s="12"/>
      <c r="C14" s="13" t="s">
        <v>25</v>
      </c>
      <c r="D14" s="17"/>
      <c r="E14" s="12" t="s">
        <v>30</v>
      </c>
      <c r="F14" s="17"/>
      <c r="G14" s="18" t="s">
        <v>39</v>
      </c>
      <c r="H14" s="9" t="e">
        <f>VLOOKUP(D14,DATA!B2:C6,2)</f>
        <v>#N/A</v>
      </c>
      <c r="I14" s="11" t="s">
        <v>17</v>
      </c>
      <c r="J14" s="43" t="e">
        <f>INT(DATA!B14)&amp;"cm"</f>
        <v>#N/A</v>
      </c>
      <c r="K14" s="43"/>
    </row>
    <row r="15" spans="2:11" ht="14.25">
      <c r="B15" s="12"/>
      <c r="C15" s="13" t="s">
        <v>26</v>
      </c>
      <c r="D15" s="17"/>
      <c r="E15" s="12" t="s">
        <v>30</v>
      </c>
      <c r="F15" s="17"/>
      <c r="G15" s="12" t="s">
        <v>39</v>
      </c>
      <c r="H15" s="9" t="e">
        <f>VLOOKUP(D15,DATA!B2:C6,2)</f>
        <v>#N/A</v>
      </c>
      <c r="I15" s="9" t="s">
        <v>17</v>
      </c>
      <c r="J15" s="43" t="e">
        <f>"("&amp;INT(DATA!B15)&amp;"cm)"</f>
        <v>#N/A</v>
      </c>
      <c r="K15" s="43"/>
    </row>
    <row r="16" spans="2:7" ht="12">
      <c r="B16" s="12" t="s">
        <v>21</v>
      </c>
      <c r="C16" s="14"/>
      <c r="E16" s="12"/>
      <c r="F16" s="12"/>
      <c r="G16" s="12"/>
    </row>
    <row r="17" spans="2:12" ht="12">
      <c r="B17" s="12"/>
      <c r="C17" s="13" t="s">
        <v>12</v>
      </c>
      <c r="D17" s="17"/>
      <c r="E17" s="12" t="s">
        <v>31</v>
      </c>
      <c r="F17" s="12"/>
      <c r="G17" s="12"/>
      <c r="H17" s="15" t="s">
        <v>34</v>
      </c>
      <c r="I17" s="15"/>
      <c r="J17" s="15"/>
      <c r="K17" s="16"/>
      <c r="L17" s="15" t="s">
        <v>41</v>
      </c>
    </row>
    <row r="18" spans="2:13" ht="12">
      <c r="B18" s="12" t="s">
        <v>22</v>
      </c>
      <c r="C18" s="14"/>
      <c r="E18" s="12"/>
      <c r="F18" s="12"/>
      <c r="G18" s="12"/>
      <c r="H18" s="42" t="e">
        <f>"σc="&amp;Sheet1!D76</f>
        <v>#N/A</v>
      </c>
      <c r="I18" s="42"/>
      <c r="J18" s="42"/>
      <c r="K18" s="11" t="s">
        <v>37</v>
      </c>
      <c r="L18" s="21" t="e">
        <f>Sheet1!G77</f>
        <v>#N/A</v>
      </c>
      <c r="M18" s="11"/>
    </row>
    <row r="19" spans="3:13" ht="12">
      <c r="C19" s="13" t="s">
        <v>27</v>
      </c>
      <c r="D19" s="12">
        <f>(D11+D12)/1000</f>
        <v>0</v>
      </c>
      <c r="E19" s="12" t="s">
        <v>32</v>
      </c>
      <c r="F19" s="12"/>
      <c r="G19" s="12"/>
      <c r="H19" s="42" t="e">
        <f>"σs="&amp;Sheet1!D80</f>
        <v>#N/A</v>
      </c>
      <c r="I19" s="42"/>
      <c r="J19" s="42"/>
      <c r="K19" s="11" t="s">
        <v>38</v>
      </c>
      <c r="L19" s="21" t="e">
        <f>Sheet1!G81</f>
        <v>#N/A</v>
      </c>
      <c r="M19" s="11"/>
    </row>
    <row r="20" spans="3:13" ht="12">
      <c r="C20" s="13" t="s">
        <v>13</v>
      </c>
      <c r="D20" s="17"/>
      <c r="E20" s="12" t="s">
        <v>32</v>
      </c>
      <c r="F20" s="12"/>
      <c r="G20" s="12"/>
      <c r="H20" s="15" t="s">
        <v>35</v>
      </c>
      <c r="I20" s="16"/>
      <c r="J20" s="16"/>
      <c r="K20" s="16"/>
      <c r="L20" s="20" t="s">
        <v>40</v>
      </c>
      <c r="M20" s="16"/>
    </row>
    <row r="21" spans="3:13" ht="12">
      <c r="C21" s="13" t="s">
        <v>28</v>
      </c>
      <c r="D21" s="17"/>
      <c r="E21" s="12" t="s">
        <v>32</v>
      </c>
      <c r="F21" s="12"/>
      <c r="G21" s="12"/>
      <c r="H21" s="42" t="e">
        <f>"σc'="&amp;Sheet1!D93</f>
        <v>#N/A</v>
      </c>
      <c r="I21" s="42"/>
      <c r="J21" s="42"/>
      <c r="K21" s="11" t="s">
        <v>37</v>
      </c>
      <c r="L21" s="21" t="e">
        <f>Sheet1!G94</f>
        <v>#N/A</v>
      </c>
      <c r="M21" s="11"/>
    </row>
    <row r="22" spans="3:13" ht="12">
      <c r="C22" s="13" t="s">
        <v>14</v>
      </c>
      <c r="D22" s="17"/>
      <c r="E22" s="12" t="s">
        <v>32</v>
      </c>
      <c r="F22" s="12"/>
      <c r="G22" s="12"/>
      <c r="H22" s="42" t="e">
        <f>"σc'="&amp;Sheet1!D97</f>
        <v>#N/A</v>
      </c>
      <c r="I22" s="42"/>
      <c r="J22" s="42"/>
      <c r="K22" s="11" t="s">
        <v>38</v>
      </c>
      <c r="L22" s="21" t="e">
        <f>Sheet1!G98</f>
        <v>#N/A</v>
      </c>
      <c r="M22" s="11"/>
    </row>
    <row r="23" spans="3:7" ht="12">
      <c r="C23" s="13" t="s">
        <v>15</v>
      </c>
      <c r="D23" s="17"/>
      <c r="E23" s="12" t="s">
        <v>32</v>
      </c>
      <c r="F23" s="12"/>
      <c r="G23" s="12"/>
    </row>
    <row r="24" spans="3:7" ht="12">
      <c r="C24" s="13" t="s">
        <v>16</v>
      </c>
      <c r="D24" s="17"/>
      <c r="E24" s="12" t="s">
        <v>32</v>
      </c>
      <c r="F24" s="12"/>
      <c r="G24" s="12"/>
    </row>
  </sheetData>
  <sheetProtection sheet="1" objects="1" scenarios="1"/>
  <mergeCells count="7">
    <mergeCell ref="H22:J22"/>
    <mergeCell ref="J14:K14"/>
    <mergeCell ref="J15:K15"/>
    <mergeCell ref="C6:D6"/>
    <mergeCell ref="H18:J18"/>
    <mergeCell ref="H19:J19"/>
    <mergeCell ref="H21:J21"/>
  </mergeCells>
  <printOptions/>
  <pageMargins left="0.75" right="0.75" top="1" bottom="1" header="0.512" footer="0.512"/>
  <pageSetup horizontalDpi="300" verticalDpi="300" orientation="landscape" paperSize="9" r:id="rId4"/>
  <drawing r:id="rId2"/>
  <legacyDrawing r:id="rId1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102"/>
  <sheetViews>
    <sheetView view="pageBreakPreview" zoomScaleSheetLayoutView="100" workbookViewId="0" topLeftCell="A58">
      <selection activeCell="A45" sqref="A45"/>
    </sheetView>
  </sheetViews>
  <sheetFormatPr defaultColWidth="9.00390625" defaultRowHeight="12.75"/>
  <cols>
    <col min="1" max="1" width="10.75390625" style="29" customWidth="1"/>
    <col min="2" max="2" width="4.75390625" style="29" customWidth="1"/>
    <col min="3" max="3" width="12.75390625" style="29" customWidth="1"/>
    <col min="4" max="4" width="10.75390625" style="29" customWidth="1"/>
    <col min="5" max="5" width="6.75390625" style="29" customWidth="1"/>
    <col min="6" max="6" width="10.00390625" style="29" customWidth="1"/>
    <col min="7" max="7" width="8.75390625" style="29" customWidth="1"/>
    <col min="8" max="8" width="5.75390625" style="29" customWidth="1"/>
    <col min="9" max="9" width="9.125" style="29" customWidth="1"/>
    <col min="10" max="10" width="7.00390625" style="29" customWidth="1"/>
    <col min="11" max="11" width="6.75390625" style="29" customWidth="1"/>
    <col min="12" max="16384" width="9.125" style="29" customWidth="1"/>
  </cols>
  <sheetData>
    <row r="1" spans="1:11" ht="24">
      <c r="A1" s="27"/>
      <c r="B1" s="55" t="s">
        <v>47</v>
      </c>
      <c r="C1" s="55"/>
      <c r="D1" s="55"/>
      <c r="E1" s="55"/>
      <c r="F1" s="55"/>
      <c r="G1" s="55"/>
      <c r="H1" s="55"/>
      <c r="I1" s="55"/>
      <c r="J1" s="55"/>
      <c r="K1" s="28"/>
    </row>
    <row r="2" spans="7:8" ht="13.5" customHeight="1">
      <c r="G2" s="50">
        <f>IF('入力'!D6="","",'入力'!C6&amp;" 付近")</f>
      </c>
      <c r="H2" s="50"/>
    </row>
    <row r="3" ht="13.5" customHeight="1">
      <c r="B3" s="29" t="s">
        <v>48</v>
      </c>
    </row>
    <row r="4" ht="13.5" customHeight="1">
      <c r="F4" s="30">
        <f>'入力'!D9</f>
        <v>0</v>
      </c>
    </row>
    <row r="5" ht="13.5" customHeight="1"/>
    <row r="6" ht="13.5" customHeight="1"/>
    <row r="7" ht="13.5" customHeight="1">
      <c r="J7" s="47">
        <f>'入力'!D11</f>
        <v>0</v>
      </c>
    </row>
    <row r="8" ht="13.5" customHeight="1">
      <c r="J8" s="47"/>
    </row>
    <row r="9" ht="13.5" customHeight="1">
      <c r="J9" s="30">
        <f>'入力'!D12</f>
        <v>0</v>
      </c>
    </row>
    <row r="10" ht="13.5" customHeight="1"/>
    <row r="11" ht="13.5" customHeight="1"/>
    <row r="12" ht="13.5" customHeight="1"/>
    <row r="13" ht="13.5" customHeight="1">
      <c r="F13" s="30">
        <f>'入力'!D10</f>
        <v>0</v>
      </c>
    </row>
    <row r="14" ht="13.5" customHeight="1"/>
    <row r="15" ht="13.5" customHeight="1"/>
    <row r="16" ht="13.5" customHeight="1">
      <c r="B16" s="29" t="s">
        <v>49</v>
      </c>
    </row>
    <row r="17" ht="13.5" customHeight="1"/>
    <row r="18" spans="3:4" ht="13.5" customHeight="1">
      <c r="C18" s="29" t="s">
        <v>50</v>
      </c>
      <c r="D18" s="29" t="s">
        <v>51</v>
      </c>
    </row>
    <row r="19" ht="13.5" customHeight="1"/>
    <row r="20" spans="3:4" ht="13.5" customHeight="1">
      <c r="C20" s="29" t="s">
        <v>52</v>
      </c>
      <c r="D20" s="29" t="str">
        <f>"L="&amp;'入力'!D10&amp;"mm"</f>
        <v>L=mm</v>
      </c>
    </row>
    <row r="21" ht="13.5" customHeight="1"/>
    <row r="22" spans="3:12" ht="13.5" customHeight="1">
      <c r="C22" s="29" t="s">
        <v>53</v>
      </c>
      <c r="D22" s="29" t="str">
        <f>"T="&amp;'入力'!D17&amp;"ｔ"</f>
        <v>T=ｔ</v>
      </c>
      <c r="E22" s="31" t="str">
        <f>"P="&amp;'入力'!D17*0.4*1000&amp;"kgf"</f>
        <v>P=0kgf</v>
      </c>
      <c r="L22" s="29">
        <f>'入力'!D17*0.4*1000</f>
        <v>0</v>
      </c>
    </row>
    <row r="23" ht="13.5" customHeight="1"/>
    <row r="24" spans="3:7" ht="13.5" customHeight="1">
      <c r="C24" s="29" t="s">
        <v>54</v>
      </c>
      <c r="D24" s="50" t="s">
        <v>55</v>
      </c>
      <c r="E24" s="50"/>
      <c r="F24" s="29">
        <v>2500</v>
      </c>
      <c r="G24" s="31" t="s">
        <v>56</v>
      </c>
    </row>
    <row r="25" spans="4:7" ht="13.5" customHeight="1">
      <c r="D25" s="50" t="s">
        <v>57</v>
      </c>
      <c r="E25" s="50"/>
      <c r="F25" s="29">
        <v>2300</v>
      </c>
      <c r="G25" s="31" t="s">
        <v>58</v>
      </c>
    </row>
    <row r="26" spans="4:7" ht="13.5" customHeight="1">
      <c r="D26" s="49" t="s">
        <v>59</v>
      </c>
      <c r="E26" s="49"/>
      <c r="F26" s="29">
        <v>1580</v>
      </c>
      <c r="G26" s="31" t="s">
        <v>60</v>
      </c>
    </row>
    <row r="27" spans="4:7" ht="13.5" customHeight="1">
      <c r="D27" s="50" t="s">
        <v>61</v>
      </c>
      <c r="E27" s="50"/>
      <c r="F27" s="29">
        <v>1570</v>
      </c>
      <c r="G27" s="31" t="s">
        <v>60</v>
      </c>
    </row>
    <row r="28" spans="4:7" ht="13.5" customHeight="1">
      <c r="D28" s="50" t="s">
        <v>62</v>
      </c>
      <c r="E28" s="50"/>
      <c r="F28" s="29">
        <v>1800</v>
      </c>
      <c r="G28" s="31" t="s">
        <v>63</v>
      </c>
    </row>
    <row r="29" spans="4:7" ht="13.5" customHeight="1">
      <c r="D29" s="50" t="s">
        <v>64</v>
      </c>
      <c r="E29" s="50"/>
      <c r="F29" s="29">
        <v>3</v>
      </c>
      <c r="G29" s="31" t="s">
        <v>65</v>
      </c>
    </row>
    <row r="30" ht="13.5" customHeight="1"/>
    <row r="31" spans="3:9" ht="13.5" customHeight="1">
      <c r="C31" s="29" t="s">
        <v>0</v>
      </c>
      <c r="D31" s="31" t="s">
        <v>66</v>
      </c>
      <c r="G31" s="33" t="s">
        <v>67</v>
      </c>
      <c r="H31" s="29">
        <v>70</v>
      </c>
      <c r="I31" s="31" t="s">
        <v>68</v>
      </c>
    </row>
    <row r="32" spans="4:9" ht="13.5" customHeight="1">
      <c r="D32" s="31" t="s">
        <v>69</v>
      </c>
      <c r="G32" s="33" t="s">
        <v>70</v>
      </c>
      <c r="H32" s="29">
        <v>3.6</v>
      </c>
      <c r="I32" s="31" t="s">
        <v>68</v>
      </c>
    </row>
    <row r="33" spans="4:9" ht="13.5" customHeight="1">
      <c r="D33" s="29" t="s">
        <v>71</v>
      </c>
      <c r="G33" s="33" t="s">
        <v>72</v>
      </c>
      <c r="H33" s="29">
        <v>14</v>
      </c>
      <c r="I33" s="31" t="s">
        <v>73</v>
      </c>
    </row>
    <row r="34" spans="4:9" ht="13.5" customHeight="1">
      <c r="D34" s="29" t="s">
        <v>74</v>
      </c>
      <c r="G34" s="33" t="s">
        <v>75</v>
      </c>
      <c r="H34" s="29">
        <v>1400</v>
      </c>
      <c r="I34" s="31" t="s">
        <v>76</v>
      </c>
    </row>
    <row r="35" ht="13.5" customHeight="1"/>
    <row r="36" ht="13.5" customHeight="1">
      <c r="B36" s="29" t="s">
        <v>1</v>
      </c>
    </row>
    <row r="37" spans="3:8" ht="13.5" customHeight="1">
      <c r="C37" s="29" t="s">
        <v>77</v>
      </c>
      <c r="D37" s="34" t="s">
        <v>78</v>
      </c>
      <c r="E37" s="50" t="str">
        <f>"2500×1.0×1.0×"&amp;'入力'!D19&amp;" ＝"</f>
        <v>2500×1.0×1.0×0 ＝</v>
      </c>
      <c r="F37" s="50"/>
      <c r="G37" s="50"/>
      <c r="H37" s="29">
        <f>2500*1*'入力'!D19</f>
        <v>0</v>
      </c>
    </row>
    <row r="38" spans="3:8" ht="13.5" customHeight="1">
      <c r="C38" s="29" t="s">
        <v>79</v>
      </c>
      <c r="D38" s="34" t="s">
        <v>80</v>
      </c>
      <c r="E38" s="49" t="str">
        <f>IF('入力'!D20="","な  し","2300×1.0×1.0×"&amp;'入力'!D20&amp;" ＝")</f>
        <v>な  し</v>
      </c>
      <c r="F38" s="49"/>
      <c r="G38" s="49"/>
      <c r="H38" s="29">
        <f>IF('入力'!D20="","",2300*1*'入力'!D20)</f>
      </c>
    </row>
    <row r="39" spans="3:8" ht="13.5" customHeight="1">
      <c r="C39" s="29" t="s">
        <v>81</v>
      </c>
      <c r="D39" s="34" t="s">
        <v>82</v>
      </c>
      <c r="E39" s="50" t="str">
        <f>IF('入力'!D21="","な  し","1580×1.0×1.0×"&amp;'入力'!D21&amp;" ＝")</f>
        <v>な  し</v>
      </c>
      <c r="F39" s="50"/>
      <c r="G39" s="50"/>
      <c r="H39" s="29">
        <f>IF('入力'!D21="","",1580*1*'入力'!D21)</f>
      </c>
    </row>
    <row r="40" spans="3:8" ht="13.5" customHeight="1">
      <c r="C40" s="29" t="s">
        <v>83</v>
      </c>
      <c r="D40" s="34" t="s">
        <v>84</v>
      </c>
      <c r="E40" s="50" t="str">
        <f>IF('入力'!D22="","な  し","1570×1.0×1.0×"&amp;'入力'!D22&amp;" ＝")</f>
        <v>な  し</v>
      </c>
      <c r="F40" s="50"/>
      <c r="G40" s="50"/>
      <c r="H40" s="29">
        <f>IF('入力'!D22="","",1570*1*'入力'!D22)</f>
      </c>
    </row>
    <row r="41" spans="3:8" ht="13.5" customHeight="1">
      <c r="C41" s="29" t="s">
        <v>62</v>
      </c>
      <c r="D41" s="34" t="s">
        <v>85</v>
      </c>
      <c r="E41" s="50" t="str">
        <f>IF('入力'!D23="","な  し","1800×1.0×1.0×"&amp;'入力'!D23&amp;" ＝")</f>
        <v>な  し</v>
      </c>
      <c r="F41" s="50"/>
      <c r="G41" s="50"/>
      <c r="H41" s="29">
        <f>IF('入力'!D23="","",1800*1*'入力'!D23)</f>
      </c>
    </row>
    <row r="42" spans="3:8" ht="13.5" customHeight="1">
      <c r="C42" s="29" t="s">
        <v>64</v>
      </c>
      <c r="D42" s="34" t="s">
        <v>86</v>
      </c>
      <c r="E42" s="48" t="str">
        <f>IF('入力'!D24="","な  し"," 3 ×1.0×1.0×"&amp;'入力'!D24&amp;"  ＝")</f>
        <v>な  し</v>
      </c>
      <c r="F42" s="48"/>
      <c r="G42" s="48"/>
      <c r="H42" s="29">
        <f>IF('入力'!D24="","",3*1*'入力'!D24)</f>
      </c>
    </row>
    <row r="43" spans="3:9" ht="13.5" customHeight="1">
      <c r="C43" s="36" t="s">
        <v>87</v>
      </c>
      <c r="D43" s="37" t="s">
        <v>88</v>
      </c>
      <c r="E43" s="36"/>
      <c r="F43" s="36"/>
      <c r="G43" s="53">
        <f>SUM(H37:H42)</f>
        <v>0</v>
      </c>
      <c r="H43" s="53"/>
      <c r="I43" s="24" t="s">
        <v>89</v>
      </c>
    </row>
    <row r="44" ht="13.5" customHeight="1"/>
    <row r="45" ht="13.5" customHeight="1">
      <c r="B45" s="29" t="s">
        <v>90</v>
      </c>
    </row>
    <row r="46" spans="2:6" ht="13.5" customHeight="1">
      <c r="B46" s="31"/>
      <c r="C46" s="29" t="s">
        <v>91</v>
      </c>
      <c r="F46" s="25"/>
    </row>
    <row r="47" spans="3:12" ht="13.5" customHeight="1">
      <c r="C47" s="47" t="s">
        <v>92</v>
      </c>
      <c r="D47" s="26" t="s">
        <v>93</v>
      </c>
      <c r="E47" s="47" t="s">
        <v>94</v>
      </c>
      <c r="F47" s="48" t="str">
        <f>G43&amp;"×"&amp;'入力'!D10/1000&amp;"^2"</f>
        <v>0×0^2</v>
      </c>
      <c r="G47" s="48"/>
      <c r="H47" s="47" t="s">
        <v>94</v>
      </c>
      <c r="I47" s="52" t="str">
        <f>L47&amp;" kg･m"</f>
        <v>0 kg･m</v>
      </c>
      <c r="J47" s="52"/>
      <c r="L47" s="29">
        <f>ROUND(G43*('入力'!D10/1000)^2/8,2)</f>
        <v>0</v>
      </c>
    </row>
    <row r="48" spans="3:10" ht="13.5" customHeight="1">
      <c r="C48" s="47"/>
      <c r="D48" s="32" t="s">
        <v>95</v>
      </c>
      <c r="E48" s="47"/>
      <c r="F48" s="51" t="s">
        <v>95</v>
      </c>
      <c r="G48" s="51"/>
      <c r="H48" s="47"/>
      <c r="I48" s="52"/>
      <c r="J48" s="52"/>
    </row>
    <row r="49" ht="13.5" customHeight="1"/>
    <row r="50" ht="13.5" customHeight="1">
      <c r="C50" s="29" t="s">
        <v>96</v>
      </c>
    </row>
    <row r="51" ht="13.5" customHeight="1">
      <c r="C51" s="29" t="s">
        <v>97</v>
      </c>
    </row>
    <row r="52" ht="13.5" customHeight="1">
      <c r="C52" s="31" t="s">
        <v>98</v>
      </c>
    </row>
    <row r="53" spans="3:12" ht="13.5" customHeight="1">
      <c r="C53" s="31" t="s">
        <v>99</v>
      </c>
      <c r="D53" s="29" t="str">
        <f>"(0.22×"&amp;'入力'!D10/1000&amp;"＋0.08)×"&amp;L22&amp;"＝ "&amp;L53&amp;" kg･m"</f>
        <v>(0.22×0＋0.08)×0＝ 0 kg･m</v>
      </c>
      <c r="L53" s="29">
        <f>ROUND((0.22*'入力'!D10/1000+0.08)*L22,2)</f>
        <v>0</v>
      </c>
    </row>
    <row r="54" ht="13.5" customHeight="1">
      <c r="C54" s="29" t="s">
        <v>100</v>
      </c>
    </row>
    <row r="55" ht="13.5" customHeight="1">
      <c r="C55" s="29" t="s">
        <v>101</v>
      </c>
    </row>
    <row r="56" spans="3:12" ht="13.5" customHeight="1">
      <c r="C56" s="29" t="s">
        <v>102</v>
      </c>
      <c r="D56" s="29" t="str">
        <f>"(0.06×"&amp;'入力'!D10/1000&amp;"＋0.06)×"&amp;L22&amp;"＝ "&amp;L56&amp;" kg･m"</f>
        <v>(0.06×0＋0.06)×0＝ 0 kg･m</v>
      </c>
      <c r="L56" s="29">
        <f>ROUND((0.06*'入力'!D10/1000+0.06)*L22,2)</f>
        <v>0</v>
      </c>
    </row>
    <row r="57" ht="13.5" customHeight="1"/>
    <row r="58" ht="13.5" customHeight="1">
      <c r="C58" s="29" t="s">
        <v>103</v>
      </c>
    </row>
    <row r="59" ht="13.5" customHeight="1">
      <c r="C59" s="29" t="s">
        <v>104</v>
      </c>
    </row>
    <row r="60" ht="13.5" customHeight="1">
      <c r="C60" s="31" t="s">
        <v>105</v>
      </c>
    </row>
    <row r="61" spans="3:13" ht="13.5" customHeight="1">
      <c r="C61" s="29" t="str">
        <f>"       ＝ "&amp;L47&amp;"＋"&amp;L53&amp;"＝ "&amp;L61&amp;" kg･m"</f>
        <v>       ＝ 0＋0＝ 0 kg･m</v>
      </c>
      <c r="F61" s="31"/>
      <c r="G61" s="33"/>
      <c r="H61" s="29" t="str">
        <f>"＝ "&amp;L61*100&amp;" kg･cm"</f>
        <v>＝ 0 kg･cm</v>
      </c>
      <c r="J61" s="31"/>
      <c r="L61" s="29">
        <f>L47+L53</f>
        <v>0</v>
      </c>
      <c r="M61" s="29">
        <f>L61*100</f>
        <v>0</v>
      </c>
    </row>
    <row r="62" spans="3:10" ht="13.5" customHeight="1">
      <c r="C62" s="29" t="s">
        <v>106</v>
      </c>
      <c r="F62" s="31"/>
      <c r="G62" s="33"/>
      <c r="J62" s="31"/>
    </row>
    <row r="63" spans="3:10" ht="13.5" customHeight="1">
      <c r="C63" s="31" t="s">
        <v>107</v>
      </c>
      <c r="F63" s="31"/>
      <c r="G63" s="33"/>
      <c r="J63" s="31"/>
    </row>
    <row r="64" spans="3:13" ht="13.5" customHeight="1">
      <c r="C64" s="29" t="str">
        <f>"       ＝ "&amp;L47&amp;"＋"&amp;L56&amp;"＝ "&amp;L64&amp;" kg･m"</f>
        <v>       ＝ 0＋0＝ 0 kg･m</v>
      </c>
      <c r="F64" s="31"/>
      <c r="G64" s="33"/>
      <c r="H64" s="29" t="str">
        <f>"＝ "&amp;L64*100&amp;" kg･cm"</f>
        <v>＝ 0 kg･cm</v>
      </c>
      <c r="J64" s="31"/>
      <c r="L64" s="29">
        <f>L47+L56</f>
        <v>0</v>
      </c>
      <c r="M64" s="29">
        <f>L64*100</f>
        <v>0</v>
      </c>
    </row>
    <row r="65" ht="13.5" customHeight="1"/>
    <row r="66" ht="13.5" customHeight="1">
      <c r="B66" s="31" t="s">
        <v>108</v>
      </c>
    </row>
    <row r="67" ht="13.5" customHeight="1">
      <c r="C67" s="31" t="str">
        <f>"1. ここに、主鉄筋D"&amp;'入力'!D14&amp;"mmを"&amp;'入力'!F14&amp;"cmピッチとして計算を行う。"</f>
        <v>1. ここに、主鉄筋Dmmをcmピッチとして計算を行う。</v>
      </c>
    </row>
    <row r="68" ht="13.5" customHeight="1">
      <c r="C68" s="29" t="s">
        <v>109</v>
      </c>
    </row>
    <row r="69" spans="3:12" ht="13.5" customHeight="1">
      <c r="C69" s="29" t="e">
        <f>"     Ｍ＝ "&amp;M61&amp;" kg･cm   ｄ＝ "&amp;'入力'!D11/10&amp;"cm   ｂ＝ 100cm    Ａｓ＝ "&amp;L69&amp;" cm2"</f>
        <v>#N/A</v>
      </c>
      <c r="J69" s="31"/>
      <c r="L69" s="29" t="e">
        <f>ROUND('入力'!H14*100/'入力'!F14,2)</f>
        <v>#N/A</v>
      </c>
    </row>
    <row r="70" spans="3:9" ht="13.5" customHeight="1">
      <c r="C70" s="45" t="s">
        <v>110</v>
      </c>
      <c r="D70" s="35" t="s">
        <v>111</v>
      </c>
      <c r="E70" s="47" t="s">
        <v>94</v>
      </c>
      <c r="F70" s="35" t="e">
        <f>L69</f>
        <v>#N/A</v>
      </c>
      <c r="G70" s="47" t="s">
        <v>94</v>
      </c>
      <c r="H70" s="52" t="e">
        <f>ROUND(L69/(100*'入力'!D11/10),4)</f>
        <v>#N/A</v>
      </c>
      <c r="I70" s="52"/>
    </row>
    <row r="71" spans="3:9" ht="13.5" customHeight="1">
      <c r="C71" s="45"/>
      <c r="D71" s="30" t="s">
        <v>112</v>
      </c>
      <c r="E71" s="47"/>
      <c r="F71" s="30" t="str">
        <f>"100×"&amp;'入力'!D11/10</f>
        <v>100×0</v>
      </c>
      <c r="G71" s="47"/>
      <c r="H71" s="52"/>
      <c r="I71" s="52"/>
    </row>
    <row r="72" ht="13.5" customHeight="1">
      <c r="C72" s="31" t="s">
        <v>113</v>
      </c>
    </row>
    <row r="73" spans="3:5" ht="13.5" customHeight="1">
      <c r="C73" s="29" t="e">
        <f>"     ｋ＝ "&amp;DATA!E2</f>
        <v>#N/A</v>
      </c>
      <c r="E73" s="29" t="e">
        <f>"ｊ＝ "&amp;DATA!E3</f>
        <v>#N/A</v>
      </c>
    </row>
    <row r="74" spans="3:10" ht="13.5" customHeight="1">
      <c r="C74" s="45" t="s">
        <v>114</v>
      </c>
      <c r="D74" s="48" t="s">
        <v>115</v>
      </c>
      <c r="E74" s="48"/>
      <c r="F74" s="47" t="s">
        <v>116</v>
      </c>
      <c r="G74" s="48" t="str">
        <f>"2×"&amp;M61</f>
        <v>2×0</v>
      </c>
      <c r="H74" s="48"/>
      <c r="I74" s="48"/>
      <c r="J74" s="48"/>
    </row>
    <row r="75" spans="3:10" ht="13.5" customHeight="1">
      <c r="C75" s="47"/>
      <c r="D75" s="49" t="s">
        <v>117</v>
      </c>
      <c r="E75" s="49"/>
      <c r="F75" s="47"/>
      <c r="G75" s="50" t="e">
        <f>DATA!E2&amp;"×"&amp;DATA!E3&amp;"×100×"&amp;'入力'!D11/10&amp;"^2"</f>
        <v>#N/A</v>
      </c>
      <c r="H75" s="50"/>
      <c r="I75" s="50"/>
      <c r="J75" s="50"/>
    </row>
    <row r="76" spans="3:6" ht="13.5" customHeight="1">
      <c r="C76" s="29" t="s">
        <v>118</v>
      </c>
      <c r="D76" s="30" t="e">
        <f>ROUND(2*M61/(DATA!E2*DATA!E3*100*('入力'!D11/10)^2),2)</f>
        <v>#N/A</v>
      </c>
      <c r="E76" s="31" t="s">
        <v>119</v>
      </c>
      <c r="F76" s="31" t="s">
        <v>120</v>
      </c>
    </row>
    <row r="77" ht="13.5" customHeight="1">
      <c r="G77" s="29" t="e">
        <f>IF(D76&lt;70,"…ok!","…Out!!")</f>
        <v>#N/A</v>
      </c>
    </row>
    <row r="78" spans="3:9" ht="13.5" customHeight="1">
      <c r="C78" s="45" t="s">
        <v>121</v>
      </c>
      <c r="D78" s="48" t="s">
        <v>122</v>
      </c>
      <c r="E78" s="48"/>
      <c r="F78" s="47" t="s">
        <v>116</v>
      </c>
      <c r="G78" s="48">
        <f>M61</f>
        <v>0</v>
      </c>
      <c r="H78" s="48"/>
      <c r="I78" s="48"/>
    </row>
    <row r="79" spans="3:9" ht="13.5" customHeight="1">
      <c r="C79" s="46"/>
      <c r="D79" s="49" t="s">
        <v>123</v>
      </c>
      <c r="E79" s="49"/>
      <c r="F79" s="47"/>
      <c r="G79" s="50" t="e">
        <f>L69&amp;"×"&amp;DATA!E3&amp;"×"&amp;'入力'!D11/10</f>
        <v>#N/A</v>
      </c>
      <c r="H79" s="50"/>
      <c r="I79" s="50"/>
    </row>
    <row r="80" spans="3:6" ht="13.5" customHeight="1">
      <c r="C80" s="29" t="s">
        <v>118</v>
      </c>
      <c r="D80" s="30" t="e">
        <f>ROUND(M61/(L69*DATA!E3*'入力'!D11/10),2)</f>
        <v>#N/A</v>
      </c>
      <c r="E80" s="31" t="s">
        <v>119</v>
      </c>
      <c r="F80" s="31" t="s">
        <v>124</v>
      </c>
    </row>
    <row r="81" ht="13.5" customHeight="1">
      <c r="G81" s="29" t="e">
        <f>IF(D80&lt;1400,"…ok!","…Out!!")</f>
        <v>#N/A</v>
      </c>
    </row>
    <row r="82" ht="13.5" customHeight="1">
      <c r="C82" s="38" t="str">
        <f>"よって主鉄筋はD"&amp;'入力'!D14&amp;"mm @"&amp;'入力'!F14&amp;"cmとする。"</f>
        <v>よって主鉄筋はDmm @cmとする。</v>
      </c>
    </row>
    <row r="83" ht="13.5" customHeight="1"/>
    <row r="84" ht="13.5" customHeight="1">
      <c r="C84" s="29" t="str">
        <f>"2. ここに、配力鉄筋D"&amp;'入力'!D15&amp;"mmを"&amp;'入力'!F15&amp;"cmピッチとして計算を行う。"</f>
        <v>2. ここに、配力鉄筋Dmmをcmピッチとして計算を行う。</v>
      </c>
    </row>
    <row r="85" ht="13.5" customHeight="1">
      <c r="C85" s="31" t="s">
        <v>125</v>
      </c>
    </row>
    <row r="86" spans="3:13" ht="13.5" customHeight="1">
      <c r="C86" s="29" t="e">
        <f>"     Ｍ'＝ "&amp;M64&amp;"kg･cm   ｄ'＝ "&amp;L86&amp;"cm   ｂ＝ 100cm Ａｓ'＝ "&amp;M86&amp;" cm2"</f>
        <v>#N/A</v>
      </c>
      <c r="J86" s="31"/>
      <c r="L86" s="29">
        <f>('入力'!D11-'入力'!D14/2-'入力'!D15/2)/10</f>
        <v>0</v>
      </c>
      <c r="M86" s="29" t="e">
        <f>ROUND('入力'!H15*100/'入力'!F15,2)</f>
        <v>#N/A</v>
      </c>
    </row>
    <row r="87" spans="3:9" ht="13.5" customHeight="1">
      <c r="C87" s="45" t="s">
        <v>126</v>
      </c>
      <c r="D87" s="39" t="s">
        <v>127</v>
      </c>
      <c r="E87" s="47" t="s">
        <v>128</v>
      </c>
      <c r="F87" s="35" t="e">
        <f>M86</f>
        <v>#N/A</v>
      </c>
      <c r="G87" s="47" t="s">
        <v>128</v>
      </c>
      <c r="H87" s="52" t="e">
        <f>ROUND(M86/(100*L86),4)</f>
        <v>#N/A</v>
      </c>
      <c r="I87" s="52"/>
    </row>
    <row r="88" spans="3:9" ht="13.5" customHeight="1">
      <c r="C88" s="45"/>
      <c r="D88" s="30" t="s">
        <v>129</v>
      </c>
      <c r="E88" s="47"/>
      <c r="F88" s="30" t="str">
        <f>"100×"&amp;L86</f>
        <v>100×0</v>
      </c>
      <c r="G88" s="47"/>
      <c r="H88" s="52"/>
      <c r="I88" s="52"/>
    </row>
    <row r="89" ht="13.5" customHeight="1">
      <c r="C89" s="31" t="s">
        <v>113</v>
      </c>
    </row>
    <row r="90" spans="3:5" ht="13.5" customHeight="1">
      <c r="C90" s="29" t="e">
        <f>"     ｋ'＝ "&amp;DATA!E4</f>
        <v>#N/A</v>
      </c>
      <c r="E90" s="29" t="e">
        <f>"ｊ'＝ "&amp;DATA!E5</f>
        <v>#N/A</v>
      </c>
    </row>
    <row r="91" spans="3:10" ht="13.5" customHeight="1">
      <c r="C91" s="45" t="s">
        <v>130</v>
      </c>
      <c r="D91" s="54" t="s">
        <v>131</v>
      </c>
      <c r="E91" s="48"/>
      <c r="F91" s="47" t="s">
        <v>116</v>
      </c>
      <c r="G91" s="48" t="str">
        <f>"2×"&amp;M64</f>
        <v>2×0</v>
      </c>
      <c r="H91" s="48"/>
      <c r="I91" s="48"/>
      <c r="J91" s="48"/>
    </row>
    <row r="92" spans="3:10" ht="13.5" customHeight="1">
      <c r="C92" s="47"/>
      <c r="D92" s="49" t="s">
        <v>132</v>
      </c>
      <c r="E92" s="49"/>
      <c r="F92" s="47"/>
      <c r="G92" s="50" t="e">
        <f>DATA!E4&amp;"×"&amp;DATA!E5&amp;"×100×"&amp;L86&amp;"^2"</f>
        <v>#N/A</v>
      </c>
      <c r="H92" s="50"/>
      <c r="I92" s="50"/>
      <c r="J92" s="50"/>
    </row>
    <row r="93" spans="3:6" ht="13.5" customHeight="1">
      <c r="C93" s="29" t="s">
        <v>118</v>
      </c>
      <c r="D93" s="30" t="e">
        <f>ROUND(2*M64/(DATA!E4*DATA!E5*100*L86^2),2)</f>
        <v>#N/A</v>
      </c>
      <c r="E93" s="31" t="s">
        <v>119</v>
      </c>
      <c r="F93" s="31" t="s">
        <v>120</v>
      </c>
    </row>
    <row r="94" ht="13.5" customHeight="1">
      <c r="G94" s="29" t="e">
        <f>IF(D93&lt;70,"…ok!","…Out!!")</f>
        <v>#N/A</v>
      </c>
    </row>
    <row r="95" spans="3:9" ht="13.5" customHeight="1">
      <c r="C95" s="45" t="s">
        <v>133</v>
      </c>
      <c r="D95" s="54" t="s">
        <v>134</v>
      </c>
      <c r="E95" s="48"/>
      <c r="F95" s="47" t="s">
        <v>116</v>
      </c>
      <c r="G95" s="48">
        <f>M64</f>
        <v>0</v>
      </c>
      <c r="H95" s="48"/>
      <c r="I95" s="48"/>
    </row>
    <row r="96" spans="3:9" ht="13.5" customHeight="1">
      <c r="C96" s="46"/>
      <c r="D96" s="49" t="s">
        <v>135</v>
      </c>
      <c r="E96" s="49"/>
      <c r="F96" s="47"/>
      <c r="G96" s="50" t="e">
        <f>M86&amp;"×"&amp;DATA!E5&amp;"×"&amp;L86</f>
        <v>#N/A</v>
      </c>
      <c r="H96" s="50"/>
      <c r="I96" s="50"/>
    </row>
    <row r="97" spans="3:6" ht="13.5" customHeight="1">
      <c r="C97" s="29" t="s">
        <v>118</v>
      </c>
      <c r="D97" s="30" t="e">
        <f>ROUND(M64/(M86*DATA!E5*L86),2)</f>
        <v>#N/A</v>
      </c>
      <c r="E97" s="31" t="s">
        <v>119</v>
      </c>
      <c r="F97" s="31" t="s">
        <v>124</v>
      </c>
    </row>
    <row r="98" ht="13.5" customHeight="1">
      <c r="G98" s="29" t="e">
        <f>IF(D97&lt;1400,"…ok!","…Out!!")</f>
        <v>#N/A</v>
      </c>
    </row>
    <row r="99" ht="13.5" customHeight="1">
      <c r="C99" s="38" t="str">
        <f>"よって配力鉄筋はD"&amp;'入力'!D15&amp;"mm @"&amp;'入力'!F15&amp;"cmとする。"</f>
        <v>よって配力鉄筋はDmm @cmとする。</v>
      </c>
    </row>
    <row r="100" ht="13.5" customHeight="1"/>
    <row r="101" s="41" customFormat="1" ht="17.25">
      <c r="C101" s="40" t="s">
        <v>136</v>
      </c>
    </row>
    <row r="102" spans="3:5" s="41" customFormat="1" ht="17.25">
      <c r="C102" s="40"/>
      <c r="E102" s="40" t="s">
        <v>137</v>
      </c>
    </row>
  </sheetData>
  <sheetProtection sheet="1" objects="1" scenarios="1"/>
  <mergeCells count="54">
    <mergeCell ref="B1:J1"/>
    <mergeCell ref="J7:J8"/>
    <mergeCell ref="G2:H2"/>
    <mergeCell ref="C95:C96"/>
    <mergeCell ref="D95:E95"/>
    <mergeCell ref="F95:F96"/>
    <mergeCell ref="G95:I95"/>
    <mergeCell ref="D96:E96"/>
    <mergeCell ref="G96:I96"/>
    <mergeCell ref="C91:C92"/>
    <mergeCell ref="D91:E91"/>
    <mergeCell ref="F91:F92"/>
    <mergeCell ref="G91:J91"/>
    <mergeCell ref="D92:E92"/>
    <mergeCell ref="G92:J92"/>
    <mergeCell ref="C87:C88"/>
    <mergeCell ref="E87:E88"/>
    <mergeCell ref="G87:G88"/>
    <mergeCell ref="H87:I88"/>
    <mergeCell ref="C70:C71"/>
    <mergeCell ref="E70:E71"/>
    <mergeCell ref="C47:C48"/>
    <mergeCell ref="E47:E48"/>
    <mergeCell ref="D28:E28"/>
    <mergeCell ref="D29:E29"/>
    <mergeCell ref="E37:G37"/>
    <mergeCell ref="E38:G38"/>
    <mergeCell ref="D24:E24"/>
    <mergeCell ref="D25:E25"/>
    <mergeCell ref="D26:E26"/>
    <mergeCell ref="D27:E27"/>
    <mergeCell ref="E39:G39"/>
    <mergeCell ref="E40:G40"/>
    <mergeCell ref="E41:G41"/>
    <mergeCell ref="F47:G47"/>
    <mergeCell ref="E42:G42"/>
    <mergeCell ref="G43:H43"/>
    <mergeCell ref="G79:I79"/>
    <mergeCell ref="G78:I78"/>
    <mergeCell ref="F48:G48"/>
    <mergeCell ref="H47:H48"/>
    <mergeCell ref="I47:J48"/>
    <mergeCell ref="G70:G71"/>
    <mergeCell ref="H70:I71"/>
    <mergeCell ref="C74:C75"/>
    <mergeCell ref="F74:F75"/>
    <mergeCell ref="G75:J75"/>
    <mergeCell ref="G74:J74"/>
    <mergeCell ref="D75:E75"/>
    <mergeCell ref="D74:E74"/>
    <mergeCell ref="C78:C79"/>
    <mergeCell ref="F78:F79"/>
    <mergeCell ref="D78:E78"/>
    <mergeCell ref="D79:E79"/>
  </mergeCells>
  <printOptions/>
  <pageMargins left="0.5905511811023623" right="0" top="0.7874015748031497" bottom="0" header="0" footer="0.1968503937007874"/>
  <pageSetup fitToHeight="2" horizontalDpi="300" verticalDpi="300" orientation="portrait" paperSize="9" r:id="rId2"/>
  <rowBreaks count="1" manualBreakCount="1">
    <brk id="44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39"/>
  <sheetViews>
    <sheetView workbookViewId="0" topLeftCell="A1">
      <selection activeCell="C2" sqref="C1:C2"/>
    </sheetView>
  </sheetViews>
  <sheetFormatPr defaultColWidth="9.00390625" defaultRowHeight="12.75"/>
  <cols>
    <col min="1" max="2" width="5.75390625" style="0" customWidth="1"/>
  </cols>
  <sheetData>
    <row r="1" spans="1:3" ht="12">
      <c r="A1" s="56" t="s">
        <v>2</v>
      </c>
      <c r="B1" s="56"/>
      <c r="C1" s="2" t="s">
        <v>5</v>
      </c>
    </row>
    <row r="2" spans="1:5" ht="12">
      <c r="A2" s="4" t="s">
        <v>3</v>
      </c>
      <c r="B2" s="6">
        <v>10</v>
      </c>
      <c r="C2">
        <v>0.7133</v>
      </c>
      <c r="D2" s="4" t="s">
        <v>6</v>
      </c>
      <c r="E2" t="e">
        <f>ROUND(SQRT((2*15*Sheet1!H70+(15*Sheet1!H70)^2))-(15*Sheet1!H70),3)</f>
        <v>#N/A</v>
      </c>
    </row>
    <row r="3" spans="1:5" ht="12">
      <c r="A3" s="4" t="s">
        <v>4</v>
      </c>
      <c r="B3" s="6">
        <v>13</v>
      </c>
      <c r="C3">
        <v>1.267</v>
      </c>
      <c r="D3" s="4" t="s">
        <v>7</v>
      </c>
      <c r="E3" t="e">
        <f>ROUND(1-E2/3,3)</f>
        <v>#N/A</v>
      </c>
    </row>
    <row r="4" spans="1:5" ht="12">
      <c r="A4" s="4" t="s">
        <v>4</v>
      </c>
      <c r="B4" s="6">
        <v>16</v>
      </c>
      <c r="C4">
        <v>1.986</v>
      </c>
      <c r="D4" s="5" t="s">
        <v>8</v>
      </c>
      <c r="E4" t="e">
        <f>ROUND(SQRT((2*15*Sheet1!H87+(15*Sheet1!H87)^2))-(15*Sheet1!H87),3)</f>
        <v>#N/A</v>
      </c>
    </row>
    <row r="5" spans="1:5" ht="12">
      <c r="A5" s="4" t="s">
        <v>4</v>
      </c>
      <c r="B5" s="6">
        <v>19</v>
      </c>
      <c r="C5">
        <v>2.865</v>
      </c>
      <c r="D5" s="5" t="s">
        <v>9</v>
      </c>
      <c r="E5" t="e">
        <f>ROUND(1-E4/3,3)</f>
        <v>#N/A</v>
      </c>
    </row>
    <row r="6" spans="1:3" ht="12">
      <c r="A6" s="4" t="s">
        <v>4</v>
      </c>
      <c r="B6" s="6">
        <v>22</v>
      </c>
      <c r="C6">
        <v>3.871</v>
      </c>
    </row>
    <row r="9" ht="12">
      <c r="B9" t="e">
        <f>ROUND(DATA!G27/'入力'!H14+0.01,2)</f>
        <v>#N/A</v>
      </c>
    </row>
    <row r="10" ht="12">
      <c r="B10" t="e">
        <f>ROUND(DATA!G35/'入力'!H15+0.01,2)</f>
        <v>#N/A</v>
      </c>
    </row>
    <row r="12" ht="13.5" customHeight="1">
      <c r="B12" s="1" t="s">
        <v>44</v>
      </c>
    </row>
    <row r="13" spans="2:3" ht="13.5" customHeight="1">
      <c r="B13">
        <f>ROUND(0.279*SQRT(Sheet1!M61/100),2)</f>
        <v>0</v>
      </c>
      <c r="C13" s="1"/>
    </row>
    <row r="14" spans="1:2" ht="13.5" customHeight="1">
      <c r="A14" t="e">
        <f>ROUND(0.00299*SQRT(Sheet1!M61*100),2)/'入力'!H14</f>
        <v>#N/A</v>
      </c>
      <c r="B14" t="e">
        <f>ROUND(100/A14,2)</f>
        <v>#N/A</v>
      </c>
    </row>
    <row r="15" spans="1:3" ht="13.5" customHeight="1">
      <c r="A15" t="e">
        <f>ROUND(0.00299*SQRT(Sheet1!M64*100)/'入力'!H15,2)</f>
        <v>#N/A</v>
      </c>
      <c r="B15" t="e">
        <f>ROUND(100/A15,2)</f>
        <v>#N/A</v>
      </c>
      <c r="C15" s="1"/>
    </row>
    <row r="16" ht="13.5" customHeight="1">
      <c r="C16" s="1"/>
    </row>
    <row r="17" ht="13.5" customHeight="1"/>
    <row r="18" ht="13.5" customHeight="1"/>
    <row r="19" ht="13.5" customHeight="1">
      <c r="C19" s="1"/>
    </row>
    <row r="20" ht="13.5" customHeight="1"/>
    <row r="21" spans="4:6" ht="13.5" customHeight="1">
      <c r="D21" s="1"/>
      <c r="F21" s="1"/>
    </row>
    <row r="22" ht="13.5" customHeight="1"/>
    <row r="23" ht="13.5" customHeight="1"/>
    <row r="24" ht="13.5" customHeight="1">
      <c r="C24" s="1"/>
    </row>
    <row r="25" ht="13.5" customHeight="1"/>
    <row r="26" ht="13.5" customHeight="1">
      <c r="C26" s="1"/>
    </row>
    <row r="27" spans="7:8" ht="13.5" customHeight="1">
      <c r="G27" s="2"/>
      <c r="H27" s="1"/>
    </row>
    <row r="28" ht="13.5" customHeight="1"/>
    <row r="29" ht="13.5" customHeight="1">
      <c r="C29" s="1"/>
    </row>
    <row r="30" spans="4:7" ht="13.5" customHeight="1">
      <c r="D30" s="2"/>
      <c r="E30" s="3"/>
      <c r="F30" s="2"/>
      <c r="G30" s="1"/>
    </row>
    <row r="31" ht="12">
      <c r="C31" s="19"/>
    </row>
    <row r="32" ht="13.5" customHeight="1"/>
    <row r="33" ht="13.5" customHeight="1"/>
    <row r="34" ht="13.5" customHeight="1">
      <c r="C34" s="1"/>
    </row>
    <row r="35" spans="7:8" ht="13.5" customHeight="1">
      <c r="G35" s="2"/>
      <c r="H35" s="1"/>
    </row>
    <row r="36" ht="13.5" customHeight="1"/>
    <row r="37" ht="13.5" customHeight="1"/>
    <row r="38" spans="4:6" ht="13.5" customHeight="1">
      <c r="D38" s="2"/>
      <c r="E38" s="2"/>
      <c r="F38" s="2"/>
    </row>
    <row r="39" ht="12">
      <c r="C39" s="19"/>
    </row>
  </sheetData>
  <sheetProtection sheet="1" objects="1" scenarios="1"/>
  <mergeCells count="1">
    <mergeCell ref="A1:B1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AA</cp:lastModifiedBy>
  <cp:lastPrinted>2004-04-19T05:59:36Z</cp:lastPrinted>
  <dcterms:created xsi:type="dcterms:W3CDTF">1998-10-05T09:01:05Z</dcterms:created>
  <dcterms:modified xsi:type="dcterms:W3CDTF">2009-04-06T09:22:22Z</dcterms:modified>
  <cp:category/>
  <cp:version/>
  <cp:contentType/>
  <cp:contentStatus/>
</cp:coreProperties>
</file>